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995" windowHeight="76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N34" i="1" l="1"/>
  <c r="N33" i="1"/>
  <c r="H40" i="1"/>
  <c r="L29" i="1"/>
  <c r="L28" i="1"/>
  <c r="L27" i="1"/>
  <c r="L35" i="1" s="1"/>
  <c r="J29" i="1"/>
  <c r="J28" i="1"/>
  <c r="J35" i="1" s="1"/>
  <c r="J27" i="1"/>
  <c r="H29" i="1"/>
  <c r="H28" i="1"/>
  <c r="H27" i="1"/>
  <c r="H35" i="1" s="1"/>
  <c r="L8" i="1"/>
  <c r="L7" i="1"/>
  <c r="L6" i="1"/>
  <c r="J8" i="1"/>
  <c r="J7" i="1"/>
  <c r="J6" i="1"/>
  <c r="H8" i="1"/>
  <c r="H7" i="1"/>
  <c r="H6" i="1"/>
  <c r="F8" i="1"/>
  <c r="F19" i="1" s="1"/>
  <c r="F7" i="1"/>
  <c r="F6" i="1"/>
  <c r="F17" i="1" s="1"/>
  <c r="H19" i="1"/>
  <c r="J19" i="1" s="1"/>
  <c r="L19" i="1" s="1"/>
  <c r="L40" i="1" s="1"/>
  <c r="N13" i="1"/>
  <c r="N12" i="1"/>
  <c r="F35" i="1"/>
  <c r="N11" i="1"/>
  <c r="F14" i="1" l="1"/>
  <c r="F18" i="1"/>
  <c r="H18" i="1" s="1"/>
  <c r="J40" i="1"/>
  <c r="N32" i="1"/>
  <c r="H14" i="1"/>
  <c r="H17" i="1"/>
  <c r="J17" i="1" s="1"/>
  <c r="F22" i="1" l="1"/>
  <c r="F50" i="1" s="1"/>
  <c r="H39" i="1"/>
  <c r="J18" i="1"/>
  <c r="F20" i="1"/>
  <c r="H38" i="1"/>
  <c r="H20" i="1"/>
  <c r="L14" i="1"/>
  <c r="J14" i="1"/>
  <c r="J38" i="1"/>
  <c r="J39" i="1" l="1"/>
  <c r="L18" i="1"/>
  <c r="L39" i="1" s="1"/>
  <c r="J45" i="1"/>
  <c r="H45" i="1"/>
  <c r="H48" i="1" s="1"/>
  <c r="H46" i="1"/>
  <c r="N14" i="1"/>
  <c r="J20" i="1"/>
  <c r="J46" i="1" s="1"/>
  <c r="L17" i="1"/>
  <c r="H22" i="1"/>
  <c r="H50" i="1" s="1"/>
  <c r="H51" i="1" s="1"/>
  <c r="J22" i="1" l="1"/>
  <c r="N35" i="1"/>
  <c r="L20" i="1"/>
  <c r="L38" i="1"/>
  <c r="J48" i="1"/>
  <c r="L45" i="1" l="1"/>
  <c r="L46" i="1" s="1"/>
  <c r="J50" i="1"/>
  <c r="J51" i="1" s="1"/>
  <c r="L22" i="1"/>
  <c r="N20" i="1"/>
  <c r="N45" i="1" l="1"/>
  <c r="N48" i="1" s="1"/>
  <c r="L48" i="1"/>
  <c r="L50" i="1" s="1"/>
  <c r="L51" i="1" s="1"/>
  <c r="N22" i="1"/>
  <c r="N46" i="1" l="1"/>
  <c r="N50" i="1"/>
  <c r="N51" i="1" s="1"/>
</calcChain>
</file>

<file path=xl/sharedStrings.xml><?xml version="1.0" encoding="utf-8"?>
<sst xmlns="http://schemas.openxmlformats.org/spreadsheetml/2006/main" count="47" uniqueCount="20">
  <si>
    <t>Health Insurance Impact</t>
  </si>
  <si>
    <t>Number of Employees</t>
  </si>
  <si>
    <t>Total Cost</t>
  </si>
  <si>
    <t>Net Organizational Cost</t>
  </si>
  <si>
    <t>Total Contribution Dollars</t>
  </si>
  <si>
    <t>PPO Plan</t>
  </si>
  <si>
    <t>Grand</t>
  </si>
  <si>
    <t>Total</t>
  </si>
  <si>
    <t>Plan Cost</t>
  </si>
  <si>
    <t>Percent Change</t>
  </si>
  <si>
    <t>Single</t>
  </si>
  <si>
    <t>Single +1</t>
  </si>
  <si>
    <t>Family</t>
  </si>
  <si>
    <t>Ave Percent Change Employee Paying</t>
  </si>
  <si>
    <t xml:space="preserve">   Increase Contribution for employees ANNUAL</t>
  </si>
  <si>
    <t>Employee Conribution ANNUAL</t>
  </si>
  <si>
    <t>Net Change in Dollars to Organization</t>
  </si>
  <si>
    <t>2019/2020 Plan</t>
  </si>
  <si>
    <t>2020/2021 Plan</t>
  </si>
  <si>
    <t>* Please contact Dean Gerondale with any questions regarding the formulas/calculations x8122 or dgerondale@gbddioc.org.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</si>
</sst>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7" fontId="0" fillId="0" borderId="0" xfId="0" applyNumberFormat="1"/>
    <xf numFmtId="5" fontId="0" fillId="0" borderId="0" xfId="0" applyNumberFormat="1"/>
    <xf numFmtId="5" fontId="0" fillId="0" borderId="2" xfId="0" applyNumberFormat="1" applyBorder="1"/>
    <xf numFmtId="0" fontId="0" fillId="0" borderId="0" xfId="0" applyBorder="1"/>
    <xf numFmtId="5" fontId="2" fillId="0" borderId="0" xfId="0" applyNumberFormat="1" applyFont="1"/>
    <xf numFmtId="0" fontId="3" fillId="0" borderId="0" xfId="0" applyFont="1"/>
    <xf numFmtId="164" fontId="0" fillId="0" borderId="0" xfId="0" applyNumberFormat="1"/>
    <xf numFmtId="5" fontId="1" fillId="0" borderId="0" xfId="0" applyNumberFormat="1" applyFont="1"/>
    <xf numFmtId="5" fontId="2" fillId="0" borderId="1" xfId="0" applyNumberFormat="1" applyFont="1" applyBorder="1"/>
    <xf numFmtId="0" fontId="2" fillId="0" borderId="1" xfId="0" applyFont="1" applyBorder="1"/>
    <xf numFmtId="0" fontId="0" fillId="2" borderId="3" xfId="0" applyFill="1" applyBorder="1"/>
    <xf numFmtId="0" fontId="0" fillId="2" borderId="2" xfId="0" applyFill="1" applyBorder="1"/>
    <xf numFmtId="5" fontId="0" fillId="2" borderId="2" xfId="0" applyNumberFormat="1" applyFill="1" applyBorder="1"/>
    <xf numFmtId="5" fontId="0" fillId="2" borderId="4" xfId="0" applyNumberFormat="1" applyFill="1" applyBorder="1"/>
    <xf numFmtId="0" fontId="0" fillId="2" borderId="5" xfId="0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6" xfId="0" applyNumberForma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E2" sqref="E2"/>
    </sheetView>
  </sheetViews>
  <sheetFormatPr defaultRowHeight="15" x14ac:dyDescent="0.25"/>
  <cols>
    <col min="1" max="1" width="5.5703125" customWidth="1"/>
    <col min="6" max="6" width="11.5703125" bestFit="1" customWidth="1"/>
    <col min="7" max="7" width="5.85546875" customWidth="1"/>
    <col min="8" max="8" width="11.85546875" bestFit="1" customWidth="1"/>
    <col min="9" max="9" width="6.140625" customWidth="1"/>
    <col min="10" max="10" width="10.85546875" bestFit="1" customWidth="1"/>
    <col min="11" max="11" width="6.28515625" customWidth="1"/>
    <col min="12" max="12" width="10.85546875" bestFit="1" customWidth="1"/>
    <col min="13" max="13" width="5.7109375" customWidth="1"/>
    <col min="14" max="14" width="10.85546875" bestFit="1" customWidth="1"/>
  </cols>
  <sheetData>
    <row r="1" spans="1:14" ht="21" x14ac:dyDescent="0.35">
      <c r="A1" s="10" t="s">
        <v>0</v>
      </c>
      <c r="E1" s="23" t="s">
        <v>19</v>
      </c>
    </row>
    <row r="3" spans="1:14" ht="21" x14ac:dyDescent="0.35">
      <c r="A3" s="10" t="s">
        <v>17</v>
      </c>
      <c r="F3" s="1">
        <v>500</v>
      </c>
      <c r="H3" s="1">
        <v>1500</v>
      </c>
      <c r="J3" s="1">
        <v>2500</v>
      </c>
      <c r="L3" s="1">
        <v>5000</v>
      </c>
      <c r="N3" s="2" t="s">
        <v>6</v>
      </c>
    </row>
    <row r="4" spans="1:14" x14ac:dyDescent="0.25">
      <c r="F4" s="3" t="s">
        <v>5</v>
      </c>
      <c r="H4" s="3" t="s">
        <v>5</v>
      </c>
      <c r="J4" s="3" t="s">
        <v>5</v>
      </c>
      <c r="L4" s="3" t="s">
        <v>5</v>
      </c>
      <c r="N4" s="3" t="s">
        <v>7</v>
      </c>
    </row>
    <row r="5" spans="1:14" x14ac:dyDescent="0.25">
      <c r="A5" t="s">
        <v>8</v>
      </c>
    </row>
    <row r="6" spans="1:14" x14ac:dyDescent="0.25">
      <c r="B6" t="s">
        <v>10</v>
      </c>
      <c r="F6" s="6">
        <f>763.49*12</f>
        <v>9161.880000000001</v>
      </c>
      <c r="H6" s="6">
        <f>721.57*12</f>
        <v>8658.84</v>
      </c>
      <c r="J6" s="6">
        <f>621.06*12</f>
        <v>7452.7199999999993</v>
      </c>
      <c r="L6" s="6">
        <f>484.43*12</f>
        <v>5813.16</v>
      </c>
      <c r="N6" s="6"/>
    </row>
    <row r="7" spans="1:14" x14ac:dyDescent="0.25">
      <c r="B7" t="s">
        <v>11</v>
      </c>
      <c r="F7" s="6">
        <f>1476.96*12</f>
        <v>17723.52</v>
      </c>
      <c r="H7" s="6">
        <f>1418.96*12</f>
        <v>17027.52</v>
      </c>
      <c r="J7" s="6">
        <f>1208.9*12</f>
        <v>14506.800000000001</v>
      </c>
      <c r="L7" s="6">
        <f>942.94*12</f>
        <v>11315.28</v>
      </c>
      <c r="N7" s="6"/>
    </row>
    <row r="8" spans="1:14" x14ac:dyDescent="0.25">
      <c r="B8" t="s">
        <v>12</v>
      </c>
      <c r="F8" s="6">
        <f>1760.22*12</f>
        <v>21122.639999999999</v>
      </c>
      <c r="H8" s="6">
        <f>1696.27*12</f>
        <v>20355.239999999998</v>
      </c>
      <c r="J8" s="6">
        <f>1438.91*12</f>
        <v>17266.920000000002</v>
      </c>
      <c r="L8" s="6">
        <f>1122.36*12</f>
        <v>13468.32</v>
      </c>
      <c r="N8" s="6"/>
    </row>
    <row r="10" spans="1:14" x14ac:dyDescent="0.25">
      <c r="A10" t="s">
        <v>1</v>
      </c>
    </row>
    <row r="11" spans="1:14" x14ac:dyDescent="0.25">
      <c r="B11" t="s">
        <v>10</v>
      </c>
      <c r="F11" s="4">
        <v>3</v>
      </c>
      <c r="H11" s="4">
        <v>1</v>
      </c>
      <c r="J11" s="4">
        <v>1</v>
      </c>
      <c r="L11" s="4">
        <v>3</v>
      </c>
      <c r="N11" s="4">
        <f>SUM(F11:L11)</f>
        <v>8</v>
      </c>
    </row>
    <row r="12" spans="1:14" x14ac:dyDescent="0.25">
      <c r="B12" t="s">
        <v>11</v>
      </c>
      <c r="F12" s="4">
        <v>2</v>
      </c>
      <c r="H12" s="4">
        <v>0</v>
      </c>
      <c r="J12" s="4">
        <v>2</v>
      </c>
      <c r="L12" s="4">
        <v>3</v>
      </c>
      <c r="N12" s="4">
        <f t="shared" ref="N12:N13" si="0">SUM(F12:L12)</f>
        <v>7</v>
      </c>
    </row>
    <row r="13" spans="1:14" x14ac:dyDescent="0.25">
      <c r="B13" t="s">
        <v>12</v>
      </c>
      <c r="F13" s="4">
        <v>5</v>
      </c>
      <c r="H13" s="4">
        <v>3</v>
      </c>
      <c r="J13" s="4">
        <v>1</v>
      </c>
      <c r="L13" s="4">
        <v>3</v>
      </c>
      <c r="N13" s="4">
        <f t="shared" si="0"/>
        <v>12</v>
      </c>
    </row>
    <row r="14" spans="1:14" x14ac:dyDescent="0.25">
      <c r="A14" t="s">
        <v>2</v>
      </c>
      <c r="F14" s="7">
        <f>+F6*F11+F7*F12+F8*F13</f>
        <v>168545.88</v>
      </c>
      <c r="H14" s="7">
        <f>+H6*H11+H7*H12+H8*H13</f>
        <v>69724.56</v>
      </c>
      <c r="J14" s="7">
        <f>+J6*J11+J7*J12+J8*J13</f>
        <v>53733.240000000005</v>
      </c>
      <c r="L14" s="7">
        <f>+L6*L11+L7*L12+L8*L13</f>
        <v>91790.28</v>
      </c>
      <c r="N14" s="7">
        <f>SUM(F14:L14)</f>
        <v>383793.95999999996</v>
      </c>
    </row>
    <row r="15" spans="1:14" x14ac:dyDescent="0.25">
      <c r="F15" s="8"/>
      <c r="H15" s="8"/>
      <c r="J15" s="8"/>
      <c r="L15" s="8"/>
      <c r="N15" s="8"/>
    </row>
    <row r="16" spans="1:14" x14ac:dyDescent="0.25">
      <c r="A16" t="s">
        <v>15</v>
      </c>
      <c r="N16" s="9"/>
    </row>
    <row r="17" spans="1:14" x14ac:dyDescent="0.25">
      <c r="B17" t="s">
        <v>10</v>
      </c>
      <c r="F17" s="9">
        <f>+F6*0.25</f>
        <v>2290.4700000000003</v>
      </c>
      <c r="H17" s="9">
        <f>+F17*0.9</f>
        <v>2061.4230000000002</v>
      </c>
      <c r="J17" s="9">
        <f>+H17*0.9</f>
        <v>1855.2807000000003</v>
      </c>
      <c r="L17" s="9">
        <f>+J17*0.9</f>
        <v>1669.7526300000002</v>
      </c>
      <c r="N17" s="9"/>
    </row>
    <row r="18" spans="1:14" x14ac:dyDescent="0.25">
      <c r="B18" t="s">
        <v>11</v>
      </c>
      <c r="F18" s="9">
        <f t="shared" ref="F18:F19" si="1">+F7*0.25</f>
        <v>4430.88</v>
      </c>
      <c r="H18" s="9">
        <f t="shared" ref="H18:L19" si="2">+F18*0.9</f>
        <v>3987.7920000000004</v>
      </c>
      <c r="J18" s="9">
        <f t="shared" si="2"/>
        <v>3589.0128000000004</v>
      </c>
      <c r="L18" s="9">
        <f t="shared" si="2"/>
        <v>3230.1115200000004</v>
      </c>
      <c r="N18" s="9"/>
    </row>
    <row r="19" spans="1:14" x14ac:dyDescent="0.25">
      <c r="B19" t="s">
        <v>12</v>
      </c>
      <c r="F19" s="13">
        <f t="shared" si="1"/>
        <v>5280.66</v>
      </c>
      <c r="H19" s="13">
        <f t="shared" si="2"/>
        <v>4752.5940000000001</v>
      </c>
      <c r="J19" s="13">
        <f t="shared" si="2"/>
        <v>4277.3346000000001</v>
      </c>
      <c r="L19" s="13">
        <f t="shared" si="2"/>
        <v>3849.6011400000002</v>
      </c>
      <c r="N19" s="13"/>
    </row>
    <row r="20" spans="1:14" x14ac:dyDescent="0.25">
      <c r="A20" t="s">
        <v>4</v>
      </c>
      <c r="F20" s="6">
        <f>+F17*F11+F12*F18+F13*F19</f>
        <v>42136.47</v>
      </c>
      <c r="H20" s="6">
        <f>+H17*H11+H12*H18+H13*H19</f>
        <v>16319.205</v>
      </c>
      <c r="J20" s="6">
        <f>+J17*J11+J12*J18+J13*J19</f>
        <v>13310.6409</v>
      </c>
      <c r="L20" s="6">
        <f>+L17*L11+L12*L18+L13*L19</f>
        <v>26248.39587</v>
      </c>
      <c r="N20" s="6">
        <f>SUM(F20:L20)</f>
        <v>98014.711769999994</v>
      </c>
    </row>
    <row r="22" spans="1:14" x14ac:dyDescent="0.25">
      <c r="A22" t="s">
        <v>3</v>
      </c>
      <c r="F22" s="6">
        <f>+F14-F20</f>
        <v>126409.41</v>
      </c>
      <c r="H22" s="6">
        <f>+H14-H20</f>
        <v>53405.354999999996</v>
      </c>
      <c r="J22" s="6">
        <f>+J14-J20</f>
        <v>40422.599100000007</v>
      </c>
      <c r="L22" s="6">
        <f>+L14-L20</f>
        <v>65541.884129999991</v>
      </c>
      <c r="N22" s="6">
        <f>+N14-N20</f>
        <v>285779.24822999997</v>
      </c>
    </row>
    <row r="24" spans="1:14" ht="21" x14ac:dyDescent="0.35">
      <c r="A24" s="10" t="s">
        <v>18</v>
      </c>
    </row>
    <row r="26" spans="1:14" x14ac:dyDescent="0.25">
      <c r="A26" t="s">
        <v>8</v>
      </c>
      <c r="M26" s="6"/>
    </row>
    <row r="27" spans="1:14" x14ac:dyDescent="0.25">
      <c r="B27" t="s">
        <v>10</v>
      </c>
      <c r="F27">
        <v>0</v>
      </c>
      <c r="H27" s="6">
        <f>852.63*12</f>
        <v>10231.56</v>
      </c>
      <c r="J27" s="6">
        <f>733.87*12</f>
        <v>8806.44</v>
      </c>
      <c r="L27" s="6">
        <f>572.42*12</f>
        <v>6869.0399999999991</v>
      </c>
      <c r="M27" s="6"/>
    </row>
    <row r="28" spans="1:14" x14ac:dyDescent="0.25">
      <c r="B28" t="s">
        <v>11</v>
      </c>
      <c r="H28" s="6">
        <f>1676.68*12</f>
        <v>20120.16</v>
      </c>
      <c r="J28" s="6">
        <f>1428.48*12</f>
        <v>17141.760000000002</v>
      </c>
      <c r="L28" s="6">
        <f>1114.21*12</f>
        <v>13370.52</v>
      </c>
      <c r="M28" s="6"/>
    </row>
    <row r="29" spans="1:14" x14ac:dyDescent="0.25">
      <c r="B29" t="s">
        <v>12</v>
      </c>
      <c r="H29" s="6">
        <f>2004.37*12</f>
        <v>24052.44</v>
      </c>
      <c r="J29" s="6">
        <f>1700.27*12</f>
        <v>20403.239999999998</v>
      </c>
      <c r="L29" s="6">
        <f>1326.22*12</f>
        <v>15914.64</v>
      </c>
      <c r="M29" s="6"/>
    </row>
    <row r="31" spans="1:14" x14ac:dyDescent="0.25">
      <c r="A31" t="s">
        <v>1</v>
      </c>
    </row>
    <row r="32" spans="1:14" x14ac:dyDescent="0.25">
      <c r="B32" t="s">
        <v>10</v>
      </c>
      <c r="F32" s="4">
        <v>0</v>
      </c>
      <c r="H32" s="4">
        <v>3</v>
      </c>
      <c r="J32" s="4">
        <v>2</v>
      </c>
      <c r="L32" s="4">
        <v>3</v>
      </c>
      <c r="N32" s="4">
        <f>SUM(F32:L32)</f>
        <v>8</v>
      </c>
    </row>
    <row r="33" spans="1:14" x14ac:dyDescent="0.25">
      <c r="B33" t="s">
        <v>11</v>
      </c>
      <c r="F33" s="4"/>
      <c r="H33" s="4">
        <v>1</v>
      </c>
      <c r="J33" s="4">
        <v>3</v>
      </c>
      <c r="L33" s="4">
        <v>3</v>
      </c>
      <c r="N33" s="4">
        <f t="shared" ref="N33:N34" si="3">SUM(F33:L33)</f>
        <v>7</v>
      </c>
    </row>
    <row r="34" spans="1:14" x14ac:dyDescent="0.25">
      <c r="B34" t="s">
        <v>12</v>
      </c>
      <c r="F34" s="4"/>
      <c r="H34" s="4">
        <v>4</v>
      </c>
      <c r="J34" s="4">
        <v>5</v>
      </c>
      <c r="L34" s="4">
        <v>3</v>
      </c>
      <c r="N34" s="4">
        <f t="shared" si="3"/>
        <v>12</v>
      </c>
    </row>
    <row r="35" spans="1:14" x14ac:dyDescent="0.25">
      <c r="A35" t="s">
        <v>2</v>
      </c>
      <c r="F35" s="7">
        <f>+F27*F32</f>
        <v>0</v>
      </c>
      <c r="H35" s="7">
        <f>+H27*H32+H28*H33+H29*H34</f>
        <v>147024.59999999998</v>
      </c>
      <c r="J35" s="7">
        <f>+J27*J32+J28*J33+J29*J34</f>
        <v>171054.36</v>
      </c>
      <c r="L35" s="7">
        <f>+L27*L32+L28*L33+L29*L34</f>
        <v>108462.59999999999</v>
      </c>
      <c r="N35" s="7">
        <f>SUM(F35:L35)</f>
        <v>426541.55999999994</v>
      </c>
    </row>
    <row r="37" spans="1:14" x14ac:dyDescent="0.25">
      <c r="A37" t="s">
        <v>15</v>
      </c>
      <c r="F37" s="4"/>
      <c r="G37" s="4"/>
      <c r="M37" s="4"/>
      <c r="N37" s="4"/>
    </row>
    <row r="38" spans="1:14" x14ac:dyDescent="0.25">
      <c r="B38" t="s">
        <v>10</v>
      </c>
      <c r="F38" s="4"/>
      <c r="G38" s="4"/>
      <c r="H38" s="12">
        <f>+H17</f>
        <v>2061.4230000000002</v>
      </c>
      <c r="I38" s="4"/>
      <c r="J38" s="12">
        <f>+J17</f>
        <v>1855.2807000000003</v>
      </c>
      <c r="K38" s="4"/>
      <c r="L38" s="12">
        <f>+L17</f>
        <v>1669.7526300000002</v>
      </c>
      <c r="M38" s="4"/>
      <c r="N38" s="4"/>
    </row>
    <row r="39" spans="1:14" x14ac:dyDescent="0.25">
      <c r="B39" t="s">
        <v>11</v>
      </c>
      <c r="F39" s="4"/>
      <c r="G39" s="4"/>
      <c r="H39" s="12">
        <f>+H18</f>
        <v>3987.7920000000004</v>
      </c>
      <c r="I39" s="4"/>
      <c r="J39" s="12">
        <f>+J18</f>
        <v>3589.0128000000004</v>
      </c>
      <c r="K39" s="4"/>
      <c r="L39" s="12">
        <f>+L18</f>
        <v>3230.1115200000004</v>
      </c>
      <c r="M39" s="4"/>
      <c r="N39" s="4"/>
    </row>
    <row r="40" spans="1:14" x14ac:dyDescent="0.25">
      <c r="B40" t="s">
        <v>12</v>
      </c>
      <c r="F40" s="4"/>
      <c r="G40" s="4"/>
      <c r="H40" s="12">
        <f>+H19</f>
        <v>4752.5940000000001</v>
      </c>
      <c r="I40" s="4"/>
      <c r="J40" s="12">
        <f>+J19</f>
        <v>4277.3346000000001</v>
      </c>
      <c r="K40" s="4"/>
      <c r="L40" s="12">
        <f>+L19</f>
        <v>3849.6011400000002</v>
      </c>
      <c r="M40" s="4"/>
      <c r="N40" s="4"/>
    </row>
    <row r="41" spans="1:14" x14ac:dyDescent="0.25">
      <c r="A41" t="s">
        <v>14</v>
      </c>
      <c r="F41" s="4"/>
      <c r="G41" s="4"/>
      <c r="M41" s="4"/>
      <c r="N41" s="4"/>
    </row>
    <row r="42" spans="1:14" x14ac:dyDescent="0.25">
      <c r="B42" t="s">
        <v>10</v>
      </c>
      <c r="F42" s="4"/>
      <c r="G42" s="4"/>
      <c r="H42" s="9">
        <v>150</v>
      </c>
      <c r="I42" s="4"/>
      <c r="J42" s="9">
        <v>100</v>
      </c>
      <c r="K42" s="4"/>
      <c r="L42" s="9">
        <v>100</v>
      </c>
      <c r="M42" s="4"/>
      <c r="N42" s="4"/>
    </row>
    <row r="43" spans="1:14" x14ac:dyDescent="0.25">
      <c r="B43" t="s">
        <v>11</v>
      </c>
      <c r="F43" s="4"/>
      <c r="G43" s="4"/>
      <c r="H43" s="9">
        <v>250</v>
      </c>
      <c r="I43" s="4"/>
      <c r="J43" s="9">
        <v>200</v>
      </c>
      <c r="K43" s="4"/>
      <c r="L43" s="9">
        <v>200</v>
      </c>
      <c r="M43" s="4"/>
      <c r="N43" s="4"/>
    </row>
    <row r="44" spans="1:14" x14ac:dyDescent="0.25">
      <c r="B44" t="s">
        <v>12</v>
      </c>
      <c r="F44" s="4"/>
      <c r="G44" s="4"/>
      <c r="H44" s="13">
        <v>350</v>
      </c>
      <c r="I44" s="4"/>
      <c r="J44" s="13">
        <v>300</v>
      </c>
      <c r="K44" s="4"/>
      <c r="L44" s="13">
        <v>300</v>
      </c>
      <c r="M44" s="4"/>
      <c r="N44" s="14"/>
    </row>
    <row r="45" spans="1:14" x14ac:dyDescent="0.25">
      <c r="A45" t="s">
        <v>4</v>
      </c>
      <c r="H45" s="6">
        <f>+(H38+H42)*H32+(H39+H43)*H33+(H40+H44)*H34</f>
        <v>31282.437000000002</v>
      </c>
      <c r="J45" s="6">
        <f>+(J38+J42)*J32+(J39+J43)*J33+(J40+J44)*J34</f>
        <v>38164.272800000006</v>
      </c>
      <c r="L45" s="6">
        <f>+(L38+L42)*L32+(L39+L43)*L33+(L40+L44)*L34</f>
        <v>28048.395870000004</v>
      </c>
      <c r="N45" s="6">
        <f>SUM(F45:L45)</f>
        <v>97495.105670000019</v>
      </c>
    </row>
    <row r="46" spans="1:14" x14ac:dyDescent="0.25">
      <c r="B46" t="s">
        <v>13</v>
      </c>
      <c r="F46" s="5"/>
      <c r="G46" s="5"/>
      <c r="H46" s="11">
        <f>+((H45/H35)-(H20/H14))</f>
        <v>-2.1282375551109428E-2</v>
      </c>
      <c r="J46" s="11">
        <f>+((J45/J35)-(J20/J14))</f>
        <v>-2.4605116582462422E-2</v>
      </c>
      <c r="L46" s="11">
        <f>+((L45/L35)-(L20/L14))</f>
        <v>-2.7360815957879314E-2</v>
      </c>
      <c r="N46" s="11">
        <f>+((N45/N35)-(N20/N14))</f>
        <v>-2.6812499268883128E-2</v>
      </c>
    </row>
    <row r="48" spans="1:14" x14ac:dyDescent="0.25">
      <c r="A48" t="s">
        <v>3</v>
      </c>
      <c r="H48" s="6">
        <f>+H35-H45</f>
        <v>115742.16299999997</v>
      </c>
      <c r="J48" s="6">
        <f>+J35-J45</f>
        <v>132890.08719999998</v>
      </c>
      <c r="L48" s="6">
        <f>+L35-L45</f>
        <v>80414.204129999984</v>
      </c>
      <c r="N48" s="6">
        <f>+N35-N45</f>
        <v>329046.45432999992</v>
      </c>
    </row>
    <row r="50" spans="1:14" x14ac:dyDescent="0.25">
      <c r="A50" s="15" t="s">
        <v>16</v>
      </c>
      <c r="B50" s="16"/>
      <c r="C50" s="16"/>
      <c r="D50" s="16"/>
      <c r="E50" s="16"/>
      <c r="F50" s="17">
        <f>+F48-F22</f>
        <v>-126409.41</v>
      </c>
      <c r="G50" s="16"/>
      <c r="H50" s="17">
        <f>+H48-H22</f>
        <v>62336.807999999975</v>
      </c>
      <c r="I50" s="16"/>
      <c r="J50" s="17">
        <f>+J48-J22</f>
        <v>92467.488099999973</v>
      </c>
      <c r="K50" s="16"/>
      <c r="L50" s="17">
        <f>+L48-L22</f>
        <v>14872.319999999992</v>
      </c>
      <c r="M50" s="16"/>
      <c r="N50" s="18">
        <f>+N48-N22</f>
        <v>43267.206099999952</v>
      </c>
    </row>
    <row r="51" spans="1:14" x14ac:dyDescent="0.25">
      <c r="A51" s="19"/>
      <c r="B51" s="20" t="s">
        <v>9</v>
      </c>
      <c r="C51" s="20"/>
      <c r="D51" s="20"/>
      <c r="E51" s="20"/>
      <c r="F51" s="20"/>
      <c r="G51" s="20"/>
      <c r="H51" s="21">
        <f>+H50/H22</f>
        <v>1.1672389032897541</v>
      </c>
      <c r="I51" s="20"/>
      <c r="J51" s="21">
        <f>+J50/J22</f>
        <v>2.2875196092969676</v>
      </c>
      <c r="K51" s="20"/>
      <c r="L51" s="21">
        <f>+L50/L22</f>
        <v>0.2269132204149224</v>
      </c>
      <c r="M51" s="20"/>
      <c r="N51" s="22">
        <f>+N50/N22</f>
        <v>0.15140079753158905</v>
      </c>
    </row>
  </sheetData>
  <pageMargins left="0.2" right="0.2" top="0.25" bottom="0.2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Catholic Diocese of Green Bay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Gerondale</dc:creator>
  <cp:lastModifiedBy>Jennifer Buechel</cp:lastModifiedBy>
  <cp:lastPrinted>2020-02-10T16:42:44Z</cp:lastPrinted>
  <dcterms:created xsi:type="dcterms:W3CDTF">2020-02-10T15:00:25Z</dcterms:created>
  <dcterms:modified xsi:type="dcterms:W3CDTF">2020-02-19T14:23:56Z</dcterms:modified>
</cp:coreProperties>
</file>